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DCF_Kora" sheetId="2" state="visible" r:id="rId2"/>
    <sheet xmlns:r="http://schemas.openxmlformats.org/officeDocument/2006/relationships" name="DCF_Ferro" sheetId="3" state="visible" r:id="rId3"/>
    <sheet xmlns:r="http://schemas.openxmlformats.org/officeDocument/2006/relationships" name="LBO_Ferro" sheetId="4" state="visible" r:id="rId4"/>
    <sheet xmlns:r="http://schemas.openxmlformats.org/officeDocument/2006/relationships" name="Comparables" sheetId="5" state="visible" r:id="rId5"/>
    <sheet xmlns:r="http://schemas.openxmlformats.org/officeDocument/2006/relationships" name="WACC_Calculator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0"/>
    <numFmt numFmtId="166" formatCode="0.0"/>
    <numFmt numFmtId="167" formatCode="#,##0.0"/>
    <numFmt numFmtId="168" formatCode="0.00x"/>
    <numFmt numFmtId="169" formatCode="0.0x"/>
  </numFmts>
  <fonts count="19">
    <font>
      <name val="Calibri"/>
      <family val="2"/>
      <color theme="1"/>
      <sz val="11"/>
      <scheme val="minor"/>
    </font>
    <font>
      <name val="Calibri"/>
      <b val="1"/>
      <color rgb="00CCFF33"/>
      <sz val="28"/>
    </font>
    <font>
      <name val="Calibri"/>
      <color rgb="00F0F0F0"/>
      <sz val="14"/>
    </font>
    <font>
      <name val="Calibri"/>
      <color rgb="00CCFF33"/>
      <sz val="11"/>
    </font>
    <font>
      <name val="Calibri"/>
      <b val="1"/>
      <color rgb="00F0F0F0"/>
      <sz val="16"/>
    </font>
    <font>
      <name val="Calibri"/>
      <color rgb="00F0F0F0"/>
      <sz val="12"/>
    </font>
    <font>
      <name val="Calibri"/>
      <b val="1"/>
      <color rgb="00F0F0F0"/>
      <sz val="14"/>
    </font>
    <font>
      <name val="Calibri"/>
      <b val="1"/>
      <color rgb="00CCFF33"/>
      <sz val="12"/>
    </font>
    <font>
      <name val="Calibri"/>
      <b val="1"/>
      <color rgb="00F0F0F0"/>
      <sz val="11"/>
    </font>
    <font>
      <name val="Calibri"/>
      <color rgb="00404040"/>
      <sz val="10"/>
    </font>
    <font>
      <name val="Calibri"/>
      <color rgb="002D5A27"/>
      <sz val="11"/>
    </font>
    <font>
      <name val="Calibri"/>
      <color rgb="00F0F0F0"/>
      <sz val="10"/>
    </font>
    <font>
      <name val="Calibri"/>
      <b val="1"/>
      <color rgb="00CCFF33"/>
      <sz val="14"/>
    </font>
    <font>
      <name val="Calibri"/>
      <b val="1"/>
      <color rgb="00CCFF33"/>
      <sz val="11"/>
    </font>
    <font>
      <name val="Calibri"/>
      <color rgb="00F0F0F0"/>
      <sz val="11"/>
    </font>
    <font>
      <name val="Calibri"/>
      <b val="1"/>
      <color rgb="00CCFF33"/>
      <sz val="16"/>
    </font>
    <font>
      <name val="Calibri"/>
      <b val="1"/>
      <color rgb="00CCFF33"/>
      <sz val="13"/>
    </font>
    <font>
      <name val="Calibri"/>
      <color rgb="00404040"/>
      <sz val="9"/>
    </font>
    <font>
      <name val="Calibri"/>
      <b val="1"/>
      <color rgb="00CCFF33"/>
      <sz val="10"/>
    </font>
  </fonts>
  <fills count="4">
    <fill>
      <patternFill/>
    </fill>
    <fill>
      <patternFill patternType="gray125"/>
    </fill>
    <fill>
      <patternFill patternType="solid">
        <fgColor rgb="001A1A1A"/>
        <bgColor rgb="001A1A1A"/>
      </patternFill>
    </fill>
    <fill>
      <patternFill patternType="solid">
        <fgColor rgb="002D5A27"/>
        <bgColor rgb="002D5A2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left" vertical="center" wrapText="1"/>
    </xf>
    <xf numFmtId="0" fontId="11" fillId="2" borderId="0" applyAlignment="1" pivotButton="0" quotePrefix="0" xfId="0">
      <alignment horizontal="left" vertical="center" wrapText="1"/>
    </xf>
    <xf numFmtId="0" fontId="12" fillId="2" borderId="0" applyAlignment="1" pivotButton="0" quotePrefix="0" xfId="0">
      <alignment horizontal="left" vertical="center" wrapText="1"/>
    </xf>
    <xf numFmtId="0" fontId="13" fillId="2" borderId="0" applyAlignment="1" pivotButton="0" quotePrefix="0" xfId="0">
      <alignment horizontal="left" vertical="center" wrapText="1"/>
    </xf>
    <xf numFmtId="0" fontId="14" fillId="2" borderId="0" applyAlignment="1" pivotButton="0" quotePrefix="0" xfId="0">
      <alignment horizontal="left" vertical="center" wrapText="1"/>
    </xf>
    <xf numFmtId="164" fontId="0" fillId="0" borderId="0" pivotButton="0" quotePrefix="0" xfId="0"/>
    <xf numFmtId="2" fontId="0" fillId="0" borderId="0" pivotButton="0" quotePrefix="0" xfId="0"/>
    <xf numFmtId="0" fontId="13" fillId="2" borderId="0" applyAlignment="1" pivotButton="0" quotePrefix="0" xfId="0">
      <alignment horizontal="center" vertical="center" wrapText="1"/>
    </xf>
    <xf numFmtId="3" fontId="0" fillId="0" borderId="0" pivotButton="0" quotePrefix="0" xfId="0"/>
    <xf numFmtId="165" fontId="0" fillId="0" borderId="0" pivotButton="0" quotePrefix="0" xfId="0"/>
    <xf numFmtId="3" fontId="14" fillId="2" borderId="0" applyAlignment="1" pivotButton="0" quotePrefix="0" xfId="0">
      <alignment horizontal="left" vertical="center" wrapText="1"/>
    </xf>
    <xf numFmtId="3" fontId="14" fillId="3" borderId="0" applyAlignment="1" pivotButton="0" quotePrefix="0" xfId="0">
      <alignment horizontal="left" vertical="center" wrapText="1"/>
    </xf>
    <xf numFmtId="166" fontId="0" fillId="0" borderId="0" pivotButton="0" quotePrefix="0" xfId="0"/>
    <xf numFmtId="0" fontId="15" fillId="2" borderId="0" applyAlignment="1" pivotButton="0" quotePrefix="0" xfId="0">
      <alignment horizontal="left" vertical="center" wrapText="1"/>
    </xf>
    <xf numFmtId="0" fontId="16" fillId="2" borderId="0" applyAlignment="1" pivotButton="0" quotePrefix="0" xfId="0">
      <alignment horizontal="left" vertical="center" wrapText="1"/>
    </xf>
    <xf numFmtId="167" fontId="14" fillId="2" borderId="0" applyAlignment="1" pivotButton="0" quotePrefix="0" xfId="0">
      <alignment horizontal="left" vertical="center" wrapText="1"/>
    </xf>
    <xf numFmtId="0" fontId="17" fillId="2" borderId="0" applyAlignment="1" pivotButton="0" quotePrefix="0" xfId="0">
      <alignment horizontal="left" vertical="center" wrapText="1"/>
    </xf>
    <xf numFmtId="167" fontId="14" fillId="3" borderId="0" applyAlignment="1" pivotButton="0" quotePrefix="0" xfId="0">
      <alignment horizontal="left" vertical="center" wrapText="1"/>
    </xf>
    <xf numFmtId="4" fontId="0" fillId="0" borderId="0" pivotButton="0" quotePrefix="0" xfId="0"/>
    <xf numFmtId="168" fontId="14" fillId="2" borderId="0" applyAlignment="1" pivotButton="0" quotePrefix="0" xfId="0">
      <alignment horizontal="left" vertical="center" wrapText="1"/>
    </xf>
    <xf numFmtId="0" fontId="14" fillId="3" borderId="0" applyAlignment="1" pivotButton="0" quotePrefix="0" xfId="0">
      <alignment horizontal="left" vertical="center" wrapText="1"/>
    </xf>
    <xf numFmtId="168" fontId="14" fillId="3" borderId="0" applyAlignment="1" pivotButton="0" quotePrefix="0" xfId="0">
      <alignment horizontal="left" vertical="center" wrapText="1"/>
    </xf>
    <xf numFmtId="164" fontId="14" fillId="3" borderId="0" applyAlignment="1" pivotButton="0" quotePrefix="0" xfId="0">
      <alignment horizontal="left" vertical="center" wrapText="1"/>
    </xf>
    <xf numFmtId="0" fontId="18" fillId="2" borderId="0" applyAlignment="1" pivotButton="0" quotePrefix="0" xfId="0">
      <alignment horizontal="left" vertical="center" wrapText="1"/>
    </xf>
    <xf numFmtId="9" fontId="14" fillId="2" borderId="0" applyAlignment="1" pivotButton="0" quotePrefix="0" xfId="0">
      <alignment horizontal="left" vertical="center" wrapText="1"/>
    </xf>
    <xf numFmtId="169" fontId="0" fillId="0" borderId="0" pivotButton="0" quotePrefix="0" xfId="0"/>
    <xf numFmtId="164" fontId="14" fillId="2" borderId="0" applyAlignment="1" pivotButton="0" quotePrefix="0" xfId="0">
      <alignment horizontal="left" vertical="center" wrapText="1"/>
    </xf>
    <xf numFmtId="4" fontId="14" fillId="2" borderId="0" applyAlignment="1" pivotButton="0" quotePrefix="0" xfId="0">
      <alignment horizontal="left" vertical="center" wrapText="1"/>
    </xf>
    <xf numFmtId="165" fontId="14" fillId="2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5"/>
  <sheetViews>
    <sheetView showGridLines="0" workbookViewId="0">
      <selection activeCell="A1" sqref="A1"/>
    </sheetView>
  </sheetViews>
  <sheetFormatPr baseColWidth="8" defaultRowHeight="15"/>
  <cols>
    <col width="60" customWidth="1" min="1" max="1"/>
    <col width="20" customWidth="1" min="2" max="2"/>
  </cols>
  <sheetData>
    <row r="1">
      <c r="A1" s="1" t="inlineStr">
        <is>
          <t>CapitaLab</t>
        </is>
      </c>
    </row>
    <row r="3">
      <c r="A3" s="2" t="inlineStr">
        <is>
          <t>Carlo Cimini</t>
        </is>
      </c>
    </row>
    <row r="4">
      <c r="A4" s="3" t="inlineStr">
        <is>
          <t>linkedin.com/in/carlo-cimini</t>
        </is>
      </c>
    </row>
    <row r="5">
      <c r="A5" s="3" t="inlineStr">
        <is>
          <t>capitalab.vercel.app</t>
        </is>
      </c>
    </row>
    <row r="7">
      <c r="A7" s="4" t="inlineStr">
        <is>
          <t>Modulo 2 — Valuation</t>
        </is>
      </c>
    </row>
    <row r="8">
      <c r="A8" s="5" t="inlineStr">
        <is>
          <t>Casi di studio: Kora S.r.l. (SaaS) + Ferro S.r.l. (Manifattura)</t>
        </is>
      </c>
    </row>
    <row r="10">
      <c r="A10" s="6" t="inlineStr">
        <is>
          <t>SOLUZIONE</t>
        </is>
      </c>
    </row>
    <row r="12">
      <c r="A12" s="7" t="inlineStr">
        <is>
          <t>Contenuto del file:</t>
        </is>
      </c>
    </row>
    <row r="13">
      <c r="A13" s="8" t="inlineStr">
        <is>
          <t>Sheet 2: DCF_Kora</t>
        </is>
      </c>
    </row>
    <row r="14">
      <c r="A14" s="9" t="inlineStr">
        <is>
          <t>DCF completo per Kora S.r.l. (SaaS)</t>
        </is>
      </c>
    </row>
    <row r="15">
      <c r="A15" s="8" t="inlineStr">
        <is>
          <t>Sheet 3: DCF_Ferro</t>
        </is>
      </c>
    </row>
    <row r="16">
      <c r="A16" s="9" t="inlineStr">
        <is>
          <t>DCF completo per Ferro S.r.l. (Manifattura)</t>
        </is>
      </c>
    </row>
    <row r="17">
      <c r="A17" s="8" t="inlineStr">
        <is>
          <t>Sheet 4: LBO_Ferro</t>
        </is>
      </c>
    </row>
    <row r="18">
      <c r="A18" s="9" t="inlineStr">
        <is>
          <t>Modello LBO per Ferro S.r.l.</t>
        </is>
      </c>
    </row>
    <row r="19">
      <c r="A19" s="8" t="inlineStr">
        <is>
          <t>Sheet 5: Comparables</t>
        </is>
      </c>
    </row>
    <row r="20">
      <c r="A20" s="9" t="inlineStr">
        <is>
          <t>Analisi comparables SaaS e Manifattura</t>
        </is>
      </c>
    </row>
    <row r="21">
      <c r="A21" s="8" t="inlineStr">
        <is>
          <t>Sheet 6: WACC_Calculator</t>
        </is>
      </c>
    </row>
    <row r="22">
      <c r="A22" s="9" t="inlineStr">
        <is>
          <t>Calcolatore WACC interattivo</t>
        </is>
      </c>
    </row>
    <row r="24">
      <c r="A24" s="10" t="inlineStr">
        <is>
          <t>Questo file contiene tutte le formule complete e risolte.</t>
        </is>
      </c>
    </row>
    <row r="25">
      <c r="A25" s="11" t="inlineStr">
        <is>
          <t>Consultalo solo dopo aver completato l'esercizio.</t>
        </is>
      </c>
    </row>
  </sheetData>
  <mergeCells count="1">
    <mergeCell ref="A10:B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showGridLines="0" workbookViewId="0">
      <pane xSplit="1" ySplit="21" topLeftCell="B2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2" t="inlineStr">
        <is>
          <t>SEZIONE A — ASSUNZIONI DCF</t>
        </is>
      </c>
    </row>
    <row r="3">
      <c r="A3" s="13" t="inlineStr">
        <is>
          <t>WACC Components:</t>
        </is>
      </c>
    </row>
    <row r="4">
      <c r="A4" s="14" t="inlineStr">
        <is>
          <t>Rf (BTP 10Y)</t>
        </is>
      </c>
      <c r="B4" t="n">
        <v>0.038</v>
      </c>
    </row>
    <row r="5">
      <c r="A5" s="14" t="inlineStr">
        <is>
          <t>Beta unlevered</t>
        </is>
      </c>
      <c r="B5" t="n">
        <v>1.15</v>
      </c>
    </row>
    <row r="6">
      <c r="A6" s="14" t="inlineStr">
        <is>
          <t>Beta levered</t>
        </is>
      </c>
      <c r="B6">
        <f>B5*(1+(1-B11)*B15/B14)</f>
        <v/>
      </c>
    </row>
    <row r="7">
      <c r="A7" s="14" t="inlineStr">
        <is>
          <t>ERP</t>
        </is>
      </c>
      <c r="B7" t="n">
        <v>0.055</v>
      </c>
    </row>
    <row r="8">
      <c r="A8" s="14" t="inlineStr">
        <is>
          <t>Size premium</t>
        </is>
      </c>
      <c r="B8" t="n">
        <v>0.03</v>
      </c>
    </row>
    <row r="9">
      <c r="A9" s="14" t="inlineStr">
        <is>
          <t>CSRP</t>
        </is>
      </c>
      <c r="B9" t="n">
        <v>0.01</v>
      </c>
    </row>
    <row r="10">
      <c r="A10" s="14" t="inlineStr">
        <is>
          <t>Ke (Cost of Equity)</t>
        </is>
      </c>
      <c r="B10">
        <f>B4+B6*B7+B8+B9</f>
        <v/>
      </c>
    </row>
    <row r="11">
      <c r="A11" s="14" t="inlineStr">
        <is>
          <t>Kd (Cost of Debt)</t>
        </is>
      </c>
      <c r="B11" t="n">
        <v>0.058</v>
      </c>
    </row>
    <row r="12">
      <c r="A12" s="14" t="inlineStr">
        <is>
          <t>Tax rate</t>
        </is>
      </c>
      <c r="B12" t="n">
        <v>0.27</v>
      </c>
    </row>
    <row r="13">
      <c r="A13" s="14" t="inlineStr">
        <is>
          <t>Kd after-tax</t>
        </is>
      </c>
      <c r="B13">
        <f>B11*(1-B12)</f>
        <v/>
      </c>
    </row>
    <row r="14">
      <c r="A14" s="14" t="inlineStr">
        <is>
          <t>We (Equity %)</t>
        </is>
      </c>
      <c r="B14" s="15" t="n">
        <v>0.972</v>
      </c>
    </row>
    <row r="15">
      <c r="A15" s="14" t="inlineStr">
        <is>
          <t>Wd (Debt %)</t>
        </is>
      </c>
      <c r="B15" s="15" t="n">
        <v>0.028</v>
      </c>
    </row>
    <row r="16">
      <c r="A16" s="14" t="inlineStr">
        <is>
          <t>WACC</t>
        </is>
      </c>
      <c r="B16" s="16">
        <f>B10*B14+B13*B15</f>
        <v/>
      </c>
    </row>
    <row r="17">
      <c r="A17" s="14" t="inlineStr"/>
    </row>
    <row r="18">
      <c r="A18" s="13" t="inlineStr">
        <is>
          <t>Growth Assumptions:</t>
        </is>
      </c>
    </row>
    <row r="19">
      <c r="A19" s="14" t="inlineStr">
        <is>
          <t>Revenue growth Y1-Y3</t>
        </is>
      </c>
      <c r="B19" s="15" t="n">
        <v>0.25</v>
      </c>
    </row>
    <row r="20">
      <c r="A20" s="14" t="inlineStr">
        <is>
          <t>Revenue growth Y4-Y5</t>
        </is>
      </c>
      <c r="B20" s="15" t="n">
        <v>0.2</v>
      </c>
    </row>
    <row r="21">
      <c r="A21" s="14" t="inlineStr">
        <is>
          <t>EBITDA margin Y5</t>
        </is>
      </c>
      <c r="B21" t="n">
        <v>0.22</v>
      </c>
    </row>
    <row r="22">
      <c r="A22" s="14" t="inlineStr">
        <is>
          <t>D&amp;A / Revenue</t>
        </is>
      </c>
      <c r="B22" t="n">
        <v>0.037</v>
      </c>
    </row>
    <row r="23">
      <c r="A23" s="14" t="inlineStr">
        <is>
          <t>CapEx / Revenue (Y1→Y5)</t>
        </is>
      </c>
      <c r="B23" s="14" t="inlineStr">
        <is>
          <t>4.5%→3.5%</t>
        </is>
      </c>
    </row>
    <row r="24">
      <c r="A24" s="14" t="inlineStr">
        <is>
          <t>NWC / ΔRevenue</t>
        </is>
      </c>
      <c r="B24" t="n">
        <v>0.01</v>
      </c>
    </row>
    <row r="25">
      <c r="A25" s="14" t="inlineStr">
        <is>
          <t>Terminal growth g</t>
        </is>
      </c>
      <c r="B25" s="15" t="n">
        <v>0.03</v>
      </c>
    </row>
    <row r="26">
      <c r="A26" s="14" t="inlineStr">
        <is>
          <t>Exit multiple (EV/EBITDA)</t>
        </is>
      </c>
      <c r="B26" s="16" t="n">
        <v>15</v>
      </c>
    </row>
    <row r="28">
      <c r="A28" s="12" t="inlineStr">
        <is>
          <t>SEZIONE B — PROIEZIONI 5 ANNI</t>
        </is>
      </c>
    </row>
    <row r="30">
      <c r="A30" s="13" t="inlineStr">
        <is>
          <t>Voce</t>
        </is>
      </c>
      <c r="B30" s="17" t="inlineStr">
        <is>
          <t>Anno 1</t>
        </is>
      </c>
      <c r="C30" s="17" t="inlineStr">
        <is>
          <t>Anno 2</t>
        </is>
      </c>
      <c r="D30" s="17" t="inlineStr">
        <is>
          <t>Anno 3</t>
        </is>
      </c>
      <c r="E30" s="17" t="inlineStr">
        <is>
          <t>Anno 4</t>
        </is>
      </c>
      <c r="F30" s="17" t="inlineStr">
        <is>
          <t>Anno 5</t>
        </is>
      </c>
    </row>
    <row r="31">
      <c r="A31" s="8" t="inlineStr">
        <is>
          <t>Revenue (€K)</t>
        </is>
      </c>
      <c r="B31" s="18">
        <f>2280*1.25</f>
        <v/>
      </c>
      <c r="C31" s="18">
        <f>B32*1.25</f>
        <v/>
      </c>
      <c r="D31" s="18">
        <f>C32*1.25</f>
        <v/>
      </c>
      <c r="E31" s="18">
        <f>D32*1.20</f>
        <v/>
      </c>
      <c r="F31" s="18">
        <f>E32*1.20</f>
        <v/>
      </c>
    </row>
    <row r="32">
      <c r="A32" s="14" t="inlineStr">
        <is>
          <t>EBITDA (€K)</t>
        </is>
      </c>
      <c r="B32" s="18">
        <f>B32*0.16</f>
        <v/>
      </c>
      <c r="C32" s="18">
        <f>C32*0.18</f>
        <v/>
      </c>
      <c r="D32" s="18">
        <f>D32*0.20</f>
        <v/>
      </c>
      <c r="E32" s="18">
        <f>E32*0.21</f>
        <v/>
      </c>
      <c r="F32" s="18">
        <f>F32*0.22</f>
        <v/>
      </c>
    </row>
    <row r="33">
      <c r="A33" s="14" t="inlineStr">
        <is>
          <t>D&amp;A (€K)</t>
        </is>
      </c>
      <c r="B33" s="18">
        <f>B32*0.037</f>
        <v/>
      </c>
      <c r="C33" s="18">
        <f>C32*0.037</f>
        <v/>
      </c>
      <c r="D33" s="18">
        <f>D32*0.037</f>
        <v/>
      </c>
      <c r="E33" s="18">
        <f>E32*0.037</f>
        <v/>
      </c>
      <c r="F33" s="18">
        <f>F32*0.037</f>
        <v/>
      </c>
    </row>
    <row r="34">
      <c r="A34" s="14" t="inlineStr">
        <is>
          <t>EBIT (€K)</t>
        </is>
      </c>
      <c r="B34" s="18">
        <f>B33-B34</f>
        <v/>
      </c>
      <c r="C34" s="18">
        <f>C33-C34</f>
        <v/>
      </c>
      <c r="D34" s="18">
        <f>D33-D34</f>
        <v/>
      </c>
      <c r="E34" s="18">
        <f>E33-E34</f>
        <v/>
      </c>
      <c r="F34" s="18">
        <f>F33-F34</f>
        <v/>
      </c>
    </row>
    <row r="35">
      <c r="A35" s="14" t="inlineStr">
        <is>
          <t>NOPAT (€K)</t>
        </is>
      </c>
      <c r="B35" s="18">
        <f>B35*(1-0.27)</f>
        <v/>
      </c>
      <c r="C35" s="18">
        <f>C35*(1-0.27)</f>
        <v/>
      </c>
      <c r="D35" s="18">
        <f>D35*(1-0.27)</f>
        <v/>
      </c>
      <c r="E35" s="18">
        <f>E35*(1-0.27)</f>
        <v/>
      </c>
      <c r="F35" s="18">
        <f>F35*(1-0.27)</f>
        <v/>
      </c>
    </row>
    <row r="36">
      <c r="A36" s="14" t="inlineStr">
        <is>
          <t>+ D&amp;A</t>
        </is>
      </c>
      <c r="B36" s="18">
        <f>B34</f>
        <v/>
      </c>
      <c r="C36" s="18">
        <f>C34</f>
        <v/>
      </c>
      <c r="D36" s="18">
        <f>D34</f>
        <v/>
      </c>
      <c r="E36" s="18">
        <f>E34</f>
        <v/>
      </c>
      <c r="F36" s="18">
        <f>F34</f>
        <v/>
      </c>
    </row>
    <row r="37">
      <c r="A37" s="14" t="inlineStr">
        <is>
          <t>- CapEx</t>
        </is>
      </c>
      <c r="B37" s="18">
        <f>-B32*0.045</f>
        <v/>
      </c>
      <c r="C37" s="18">
        <f>-C32*0.042</f>
        <v/>
      </c>
      <c r="D37" s="18">
        <f>-D32*0.039</f>
        <v/>
      </c>
      <c r="E37" s="18">
        <f>-E32*0.037</f>
        <v/>
      </c>
      <c r="F37" s="18">
        <f>-F32*0.035</f>
        <v/>
      </c>
    </row>
    <row r="38">
      <c r="A38" s="14" t="inlineStr">
        <is>
          <t>- ΔNWC</t>
        </is>
      </c>
      <c r="B38" s="18">
        <f>-(B32-2280)*0.01</f>
        <v/>
      </c>
      <c r="C38" s="18">
        <f>-(C32-B32)*0.01</f>
        <v/>
      </c>
      <c r="D38" s="18">
        <f>-(D32-C32)*0.01</f>
        <v/>
      </c>
      <c r="E38" s="18">
        <f>-(E32-D32)*0.01</f>
        <v/>
      </c>
      <c r="F38" s="18">
        <f>-(F32-E32)*0.01</f>
        <v/>
      </c>
    </row>
    <row r="39">
      <c r="A39" s="8" t="inlineStr">
        <is>
          <t>FCFF (€K)</t>
        </is>
      </c>
      <c r="B39" s="18">
        <f>B36+B37+B38+B39</f>
        <v/>
      </c>
      <c r="C39" s="18">
        <f>C36+C37+C38+C39</f>
        <v/>
      </c>
      <c r="D39" s="18">
        <f>D36+D37+D38+D39</f>
        <v/>
      </c>
      <c r="E39" s="18">
        <f>E36+E37+E38+E39</f>
        <v/>
      </c>
      <c r="F39" s="18">
        <f>F36+F37+F38+F39</f>
        <v/>
      </c>
    </row>
    <row r="42">
      <c r="A42" s="12" t="inlineStr">
        <is>
          <t>SEZIONE C — VALUTAZIONE</t>
        </is>
      </c>
    </row>
    <row r="44">
      <c r="A44" s="14" t="inlineStr">
        <is>
          <t>Discount Factor</t>
        </is>
      </c>
      <c r="B44" s="19">
        <f>1/(1+0.14)^1</f>
        <v/>
      </c>
      <c r="C44" s="19">
        <f>1/(1+0.14)^2</f>
        <v/>
      </c>
      <c r="D44" s="19">
        <f>1/(1+0.14)^3</f>
        <v/>
      </c>
      <c r="E44" s="19">
        <f>1/(1+0.14)^4</f>
        <v/>
      </c>
      <c r="F44" s="19">
        <f>1/(1+0.14)^5</f>
        <v/>
      </c>
    </row>
    <row r="45">
      <c r="A45" s="14" t="inlineStr">
        <is>
          <t>PV FCFF (€K)</t>
        </is>
      </c>
      <c r="B45" s="18">
        <f>B40*B44</f>
        <v/>
      </c>
      <c r="C45" s="18">
        <f>C40*C44</f>
        <v/>
      </c>
      <c r="D45" s="18">
        <f>D40*D44</f>
        <v/>
      </c>
      <c r="E45" s="18">
        <f>E40*E44</f>
        <v/>
      </c>
      <c r="F45" s="18">
        <f>F40*F44</f>
        <v/>
      </c>
    </row>
    <row r="47">
      <c r="A47" s="14" t="inlineStr">
        <is>
          <t>Sum PV FCFF (€K)</t>
        </is>
      </c>
      <c r="B47" s="20">
        <f>SUM(B45:F45)</f>
        <v/>
      </c>
    </row>
    <row r="48">
      <c r="A48" s="14" t="inlineStr"/>
    </row>
    <row r="49">
      <c r="A49" s="14" t="inlineStr">
        <is>
          <t>Terminal Value Gordon (€K)</t>
        </is>
      </c>
      <c r="B49" s="20">
        <f>F40*(1+0.03)/(0.14-0.03)</f>
        <v/>
      </c>
    </row>
    <row r="50">
      <c r="A50" s="14" t="inlineStr">
        <is>
          <t>PV TV Gordon (€K)</t>
        </is>
      </c>
      <c r="B50" s="20">
        <f>B49*(1/(1+0.14)^5)</f>
        <v/>
      </c>
    </row>
    <row r="51">
      <c r="A51" s="13" t="inlineStr">
        <is>
          <t>EV Gordon Growth (€K)</t>
        </is>
      </c>
      <c r="B51" s="20">
        <f>B47+B50</f>
        <v/>
      </c>
    </row>
    <row r="52">
      <c r="A52" s="14" t="inlineStr"/>
    </row>
    <row r="53">
      <c r="A53" s="14" t="inlineStr">
        <is>
          <t>Terminal Value Exit 15x (€K)</t>
        </is>
      </c>
      <c r="B53" s="20">
        <f>F33*15</f>
        <v/>
      </c>
    </row>
    <row r="54">
      <c r="A54" s="14" t="inlineStr">
        <is>
          <t>PV TV Exit (€K)</t>
        </is>
      </c>
      <c r="B54" s="20">
        <f>B53*(1/(1+0.14)^5)</f>
        <v/>
      </c>
    </row>
    <row r="55">
      <c r="A55" s="13" t="inlineStr">
        <is>
          <t>EV Exit Multiple (€K)</t>
        </is>
      </c>
      <c r="B55" s="20">
        <f>B47+B54</f>
        <v/>
      </c>
    </row>
    <row r="56">
      <c r="A56" s="14" t="inlineStr"/>
    </row>
    <row r="57">
      <c r="A57" s="14" t="inlineStr">
        <is>
          <t>Debito netto (€K)</t>
        </is>
      </c>
      <c r="B57" s="20" t="n">
        <v>-140</v>
      </c>
    </row>
    <row r="58">
      <c r="A58" s="14" t="inlineStr"/>
    </row>
    <row r="59">
      <c r="A59" s="13" t="inlineStr">
        <is>
          <t>Equity Value Gordon (€K)</t>
        </is>
      </c>
      <c r="B59" s="21">
        <f>B51-B57</f>
        <v/>
      </c>
    </row>
    <row r="60">
      <c r="A60" s="13" t="inlineStr">
        <is>
          <t>Equity Value Exit (€K)</t>
        </is>
      </c>
      <c r="B60" s="21">
        <f>B55-B57</f>
        <v/>
      </c>
    </row>
  </sheetData>
  <mergeCells count="3">
    <mergeCell ref="A1:G1"/>
    <mergeCell ref="A28:G28"/>
    <mergeCell ref="A42:G4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9"/>
  <sheetViews>
    <sheetView showGridLines="0" workbookViewId="0">
      <pane xSplit="1" ySplit="21" topLeftCell="B2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2" t="inlineStr">
        <is>
          <t>SEZIONE A — ASSUNZIONI DCF (Ferro S.r.l. - Manifattura)</t>
        </is>
      </c>
    </row>
    <row r="3">
      <c r="A3" s="13" t="inlineStr">
        <is>
          <t>WACC Components:</t>
        </is>
      </c>
    </row>
    <row r="4">
      <c r="A4" s="14" t="inlineStr">
        <is>
          <t>Rf (BTP 10Y)</t>
        </is>
      </c>
      <c r="B4" s="19" t="n">
        <v>0.038</v>
      </c>
    </row>
    <row r="5">
      <c r="A5" s="14" t="inlineStr">
        <is>
          <t>Beta unlevered (manifattura)</t>
        </is>
      </c>
      <c r="B5" s="19" t="n">
        <v>0.85</v>
      </c>
    </row>
    <row r="6">
      <c r="A6" s="14" t="inlineStr">
        <is>
          <t>Beta levered</t>
        </is>
      </c>
      <c r="B6" s="19">
        <f>B5*(1+(1-B11)*B15/B14)</f>
        <v/>
      </c>
    </row>
    <row r="7">
      <c r="A7" s="14" t="inlineStr">
        <is>
          <t>ERP</t>
        </is>
      </c>
      <c r="B7" s="19" t="n">
        <v>0.055</v>
      </c>
    </row>
    <row r="8">
      <c r="A8" s="14" t="inlineStr">
        <is>
          <t>Size premium</t>
        </is>
      </c>
      <c r="B8" s="19" t="n">
        <v>0.025</v>
      </c>
    </row>
    <row r="9">
      <c r="A9" s="14" t="inlineStr">
        <is>
          <t>CSRP</t>
        </is>
      </c>
      <c r="B9" s="19" t="n">
        <v>0.005</v>
      </c>
    </row>
    <row r="10">
      <c r="A10" s="14" t="inlineStr">
        <is>
          <t>Ke (Cost of Equity)</t>
        </is>
      </c>
      <c r="B10" s="19">
        <f>B4+B6*B7+B8+B9</f>
        <v/>
      </c>
    </row>
    <row r="11">
      <c r="A11" s="14" t="inlineStr">
        <is>
          <t>Kd (Cost of Debt)</t>
        </is>
      </c>
      <c r="B11" s="19" t="n">
        <v>0.052</v>
      </c>
    </row>
    <row r="12">
      <c r="A12" s="14" t="inlineStr">
        <is>
          <t>Tax rate</t>
        </is>
      </c>
      <c r="B12" s="19" t="n">
        <v>0.27</v>
      </c>
    </row>
    <row r="13">
      <c r="A13" s="14" t="inlineStr">
        <is>
          <t>Kd after-tax</t>
        </is>
      </c>
      <c r="B13" s="19">
        <f>B11*(1-B12)</f>
        <v/>
      </c>
    </row>
    <row r="14">
      <c r="A14" s="14" t="inlineStr">
        <is>
          <t>We (Equity %)</t>
        </is>
      </c>
      <c r="B14" s="15" t="n">
        <v>0.95</v>
      </c>
    </row>
    <row r="15">
      <c r="A15" s="14" t="inlineStr">
        <is>
          <t>Wd (Debt %)</t>
        </is>
      </c>
      <c r="B15" s="15" t="n">
        <v>0.05</v>
      </c>
    </row>
    <row r="16">
      <c r="A16" s="14" t="inlineStr">
        <is>
          <t>WACC</t>
        </is>
      </c>
      <c r="B16" s="19">
        <f>B10*B14+B13*B15</f>
        <v/>
      </c>
    </row>
    <row r="17">
      <c r="A17" s="14" t="inlineStr"/>
    </row>
    <row r="18">
      <c r="A18" s="13" t="inlineStr">
        <is>
          <t>Growth Assumptions:</t>
        </is>
      </c>
    </row>
    <row r="19">
      <c r="A19" s="14" t="inlineStr">
        <is>
          <t>Revenue growth Y1-Y3</t>
        </is>
      </c>
      <c r="B19" s="15" t="n">
        <v>0.05</v>
      </c>
    </row>
    <row r="20">
      <c r="A20" s="14" t="inlineStr">
        <is>
          <t>Revenue growth Y4-Y5</t>
        </is>
      </c>
      <c r="B20" s="15" t="n">
        <v>0.03</v>
      </c>
    </row>
    <row r="21">
      <c r="A21" s="14" t="inlineStr">
        <is>
          <t>EBITDA margin (stable)</t>
        </is>
      </c>
      <c r="B21" s="15" t="n">
        <v>0.178</v>
      </c>
    </row>
    <row r="22">
      <c r="A22" s="14" t="inlineStr">
        <is>
          <t>D&amp;A / Revenue</t>
        </is>
      </c>
      <c r="B22" s="19" t="n">
        <v>0.039</v>
      </c>
    </row>
    <row r="23">
      <c r="A23" s="14" t="inlineStr">
        <is>
          <t>CapEx / Revenue</t>
        </is>
      </c>
      <c r="B23" s="19" t="n">
        <v>0.07000000000000001</v>
      </c>
    </row>
    <row r="24">
      <c r="A24" s="14" t="inlineStr">
        <is>
          <t>NWC / ΔRevenue</t>
        </is>
      </c>
      <c r="B24" s="19" t="n">
        <v>0.15</v>
      </c>
    </row>
    <row r="25">
      <c r="A25" s="14" t="inlineStr">
        <is>
          <t>Terminal growth g</t>
        </is>
      </c>
      <c r="B25" s="15" t="n">
        <v>0.02</v>
      </c>
    </row>
    <row r="26">
      <c r="A26" s="14" t="inlineStr">
        <is>
          <t>Exit multiple (EV/EBITDA)</t>
        </is>
      </c>
      <c r="B26" s="22" t="n">
        <v>9</v>
      </c>
    </row>
    <row r="28">
      <c r="A28" s="12" t="inlineStr">
        <is>
          <t>SEZIONE B — PROIEZIONI 5 ANNI</t>
        </is>
      </c>
    </row>
    <row r="30">
      <c r="A30" s="13" t="inlineStr">
        <is>
          <t>Voce</t>
        </is>
      </c>
      <c r="B30" s="17" t="inlineStr">
        <is>
          <t>Anno 1</t>
        </is>
      </c>
      <c r="C30" s="17" t="inlineStr">
        <is>
          <t>Anno 2</t>
        </is>
      </c>
      <c r="D30" s="17" t="inlineStr">
        <is>
          <t>Anno 3</t>
        </is>
      </c>
      <c r="E30" s="17" t="inlineStr">
        <is>
          <t>Anno 4</t>
        </is>
      </c>
      <c r="F30" s="17" t="inlineStr">
        <is>
          <t>Anno 5</t>
        </is>
      </c>
    </row>
    <row r="31">
      <c r="A31" s="8" t="inlineStr">
        <is>
          <t>Revenue (€K)</t>
        </is>
      </c>
      <c r="B31" s="18">
        <f>18000*1.05</f>
        <v/>
      </c>
      <c r="C31" s="18">
        <f>B32*1.05</f>
        <v/>
      </c>
      <c r="D31" s="18">
        <f>C32*1.05</f>
        <v/>
      </c>
      <c r="E31" s="18">
        <f>D32*1.03</f>
        <v/>
      </c>
      <c r="F31" s="18">
        <f>E32*1.03</f>
        <v/>
      </c>
    </row>
    <row r="32">
      <c r="A32" s="14" t="inlineStr">
        <is>
          <t>EBITDA (€K)</t>
        </is>
      </c>
      <c r="B32" s="18">
        <f>B32*0.178</f>
        <v/>
      </c>
      <c r="C32" s="18">
        <f>C32*0.178</f>
        <v/>
      </c>
      <c r="D32" s="18">
        <f>D32*0.178</f>
        <v/>
      </c>
      <c r="E32" s="18">
        <f>E32*0.178</f>
        <v/>
      </c>
      <c r="F32" s="18">
        <f>F32*0.178</f>
        <v/>
      </c>
    </row>
    <row r="33">
      <c r="A33" s="14" t="inlineStr">
        <is>
          <t>D&amp;A (€K)</t>
        </is>
      </c>
      <c r="B33" s="18">
        <f>B32*0.039</f>
        <v/>
      </c>
      <c r="C33" s="18">
        <f>C32*0.039</f>
        <v/>
      </c>
      <c r="D33" s="18">
        <f>D32*0.039</f>
        <v/>
      </c>
      <c r="E33" s="18">
        <f>E32*0.039</f>
        <v/>
      </c>
      <c r="F33" s="18">
        <f>F32*0.039</f>
        <v/>
      </c>
    </row>
    <row r="34">
      <c r="A34" s="14" t="inlineStr">
        <is>
          <t>EBIT (€K)</t>
        </is>
      </c>
      <c r="B34" s="18">
        <f>B33-B34</f>
        <v/>
      </c>
      <c r="C34" s="18">
        <f>C33-C34</f>
        <v/>
      </c>
      <c r="D34" s="18">
        <f>D33-D34</f>
        <v/>
      </c>
      <c r="E34" s="18">
        <f>E33-E34</f>
        <v/>
      </c>
      <c r="F34" s="18">
        <f>F33-F34</f>
        <v/>
      </c>
    </row>
    <row r="35">
      <c r="A35" s="14" t="inlineStr">
        <is>
          <t>NOPAT (€K)</t>
        </is>
      </c>
      <c r="B35" s="18">
        <f>B35*(1-0.27)</f>
        <v/>
      </c>
      <c r="C35" s="18">
        <f>C35*(1-0.27)</f>
        <v/>
      </c>
      <c r="D35" s="18">
        <f>D35*(1-0.27)</f>
        <v/>
      </c>
      <c r="E35" s="18">
        <f>E35*(1-0.27)</f>
        <v/>
      </c>
      <c r="F35" s="18">
        <f>F35*(1-0.27)</f>
        <v/>
      </c>
    </row>
    <row r="36">
      <c r="A36" s="14" t="inlineStr">
        <is>
          <t>+ D&amp;A</t>
        </is>
      </c>
      <c r="B36" s="18">
        <f>B34</f>
        <v/>
      </c>
      <c r="C36" s="18">
        <f>C34</f>
        <v/>
      </c>
      <c r="D36" s="18">
        <f>D34</f>
        <v/>
      </c>
      <c r="E36" s="18">
        <f>E34</f>
        <v/>
      </c>
      <c r="F36" s="18">
        <f>F34</f>
        <v/>
      </c>
    </row>
    <row r="37">
      <c r="A37" s="14" t="inlineStr">
        <is>
          <t>- CapEx</t>
        </is>
      </c>
      <c r="B37" s="18">
        <f>-B32*0.07</f>
        <v/>
      </c>
      <c r="C37" s="18">
        <f>-C32*0.07</f>
        <v/>
      </c>
      <c r="D37" s="18">
        <f>-D32*0.07</f>
        <v/>
      </c>
      <c r="E37" s="18">
        <f>-E32*0.07</f>
        <v/>
      </c>
      <c r="F37" s="18">
        <f>-F32*0.07</f>
        <v/>
      </c>
    </row>
    <row r="38">
      <c r="A38" s="14" t="inlineStr">
        <is>
          <t>- ΔNWC</t>
        </is>
      </c>
      <c r="B38" s="18">
        <f>-(B32-18000)*0.15</f>
        <v/>
      </c>
      <c r="C38" s="18">
        <f>-(C32-B32)*0.15</f>
        <v/>
      </c>
      <c r="D38" s="18">
        <f>-(D32-C32)*0.15</f>
        <v/>
      </c>
      <c r="E38" s="18">
        <f>-(E32-D32)*0.15</f>
        <v/>
      </c>
      <c r="F38" s="18">
        <f>-(F32-E32)*0.15</f>
        <v/>
      </c>
    </row>
    <row r="39">
      <c r="A39" s="8" t="inlineStr">
        <is>
          <t>FCFF (€K)</t>
        </is>
      </c>
      <c r="B39" s="18">
        <f>B36+B37+B38+B39</f>
        <v/>
      </c>
      <c r="C39" s="18">
        <f>C36+C37+C38+C39</f>
        <v/>
      </c>
      <c r="D39" s="18">
        <f>D36+D37+D38+D39</f>
        <v/>
      </c>
      <c r="E39" s="18">
        <f>E36+E37+E38+E39</f>
        <v/>
      </c>
      <c r="F39" s="18">
        <f>F36+F37+F38+F39</f>
        <v/>
      </c>
    </row>
  </sheetData>
  <mergeCells count="2">
    <mergeCell ref="A1:G1"/>
    <mergeCell ref="A28:G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7"/>
  <sheetViews>
    <sheetView showGridLines="0"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23" t="inlineStr">
        <is>
          <t>LBO MODEL — Ferro S.r.l.</t>
        </is>
      </c>
    </row>
    <row r="3">
      <c r="A3" s="24" t="inlineStr">
        <is>
          <t>SEZIONE A — STRUTTURA TRANSAZIONE</t>
        </is>
      </c>
    </row>
    <row r="5">
      <c r="A5" s="13" t="inlineStr">
        <is>
          <t>Voce</t>
        </is>
      </c>
      <c r="B5" s="13" t="inlineStr">
        <is>
          <t>Importo (€M)</t>
        </is>
      </c>
      <c r="C5" s="13" t="inlineStr">
        <is>
          <t>% EV</t>
        </is>
      </c>
      <c r="D5" s="13" t="inlineStr">
        <is>
          <t>Tasso</t>
        </is>
      </c>
      <c r="E5" s="13" t="inlineStr">
        <is>
          <t>Note</t>
        </is>
      </c>
    </row>
    <row r="6">
      <c r="A6" s="8" t="inlineStr">
        <is>
          <t>EV Acquisizione (8x EBITDA €5M)</t>
        </is>
      </c>
      <c r="B6" s="25" t="n">
        <v>40</v>
      </c>
      <c r="C6" s="14" t="inlineStr">
        <is>
          <t>100%</t>
        </is>
      </c>
    </row>
    <row r="7">
      <c r="A7" s="14" t="inlineStr"/>
    </row>
    <row r="8">
      <c r="A8" s="14" t="inlineStr">
        <is>
          <t>Term Loan A</t>
        </is>
      </c>
      <c r="B8" s="25" t="n">
        <v>12</v>
      </c>
      <c r="C8" s="14" t="inlineStr">
        <is>
          <t>30%</t>
        </is>
      </c>
      <c r="D8" s="14" t="inlineStr">
        <is>
          <t>Euribor+2.5%</t>
        </is>
      </c>
      <c r="E8" s="26" t="inlineStr">
        <is>
          <t>Amm. 10%/anno</t>
        </is>
      </c>
    </row>
    <row r="9">
      <c r="A9" s="14" t="inlineStr">
        <is>
          <t>Term Loan B</t>
        </is>
      </c>
      <c r="B9" s="25" t="n">
        <v>10</v>
      </c>
      <c r="C9" s="14" t="inlineStr">
        <is>
          <t>25%</t>
        </is>
      </c>
      <c r="D9" s="14" t="inlineStr">
        <is>
          <t>Euribor+4.0%</t>
        </is>
      </c>
      <c r="E9" s="26" t="inlineStr">
        <is>
          <t>Bullet anno 7</t>
        </is>
      </c>
    </row>
    <row r="10">
      <c r="A10" s="14" t="inlineStr">
        <is>
          <t>High Yield Bond</t>
        </is>
      </c>
      <c r="B10" s="25" t="n">
        <v>6</v>
      </c>
      <c r="C10" s="14" t="inlineStr">
        <is>
          <t>15%</t>
        </is>
      </c>
      <c r="D10" s="14" t="inlineStr">
        <is>
          <t>7.5% fisso</t>
        </is>
      </c>
      <c r="E10" s="26" t="inlineStr">
        <is>
          <t>Bullet anno 8</t>
        </is>
      </c>
    </row>
    <row r="11">
      <c r="A11" s="8" t="inlineStr">
        <is>
          <t>Totale Debito</t>
        </is>
      </c>
      <c r="B11" s="27" t="n">
        <v>28</v>
      </c>
      <c r="C11" s="14" t="inlineStr">
        <is>
          <t>70%</t>
        </is>
      </c>
    </row>
    <row r="12">
      <c r="A12" s="8" t="inlineStr">
        <is>
          <t>Equity Fondo</t>
        </is>
      </c>
      <c r="B12" s="27" t="n">
        <v>12</v>
      </c>
      <c r="C12" s="14" t="inlineStr">
        <is>
          <t>30%</t>
        </is>
      </c>
    </row>
    <row r="13">
      <c r="A13" s="14" t="inlineStr"/>
    </row>
    <row r="14">
      <c r="A14" s="14" t="inlineStr">
        <is>
          <t>Debt/EBITDA entry</t>
        </is>
      </c>
      <c r="B14" s="14">
        <f>28/5 → 5.6x</f>
        <v/>
      </c>
    </row>
    <row r="15">
      <c r="A15" s="14" t="inlineStr">
        <is>
          <t>Tasso medio debito</t>
        </is>
      </c>
      <c r="B15" s="14" t="inlineStr">
        <is>
          <t>4.9%</t>
        </is>
      </c>
    </row>
    <row r="18">
      <c r="A18" s="24" t="inlineStr">
        <is>
          <t>SEZIONE B — P&amp;L PROIEZIONE</t>
        </is>
      </c>
    </row>
    <row r="20">
      <c r="A20" s="13" t="inlineStr">
        <is>
          <t>Voce</t>
        </is>
      </c>
      <c r="B20" s="17" t="inlineStr">
        <is>
          <t>Y1</t>
        </is>
      </c>
      <c r="C20" s="17" t="inlineStr">
        <is>
          <t>Y2</t>
        </is>
      </c>
      <c r="D20" s="17" t="inlineStr">
        <is>
          <t>Y3</t>
        </is>
      </c>
      <c r="E20" s="17" t="inlineStr">
        <is>
          <t>Y4</t>
        </is>
      </c>
      <c r="F20" s="17" t="inlineStr">
        <is>
          <t>Y5</t>
        </is>
      </c>
    </row>
    <row r="21">
      <c r="A21" s="8" t="inlineStr">
        <is>
          <t>EBITDA (€M)</t>
        </is>
      </c>
      <c r="B21" s="28" t="n">
        <v>5.25</v>
      </c>
      <c r="C21" s="28" t="n">
        <v>5.5125</v>
      </c>
      <c r="D21" s="28" t="n">
        <v>5.788125000000001</v>
      </c>
      <c r="E21" s="28" t="n">
        <v>6.077531250000002</v>
      </c>
      <c r="F21" s="28" t="n">
        <v>6.381407812500002</v>
      </c>
    </row>
    <row r="22">
      <c r="A22" s="14" t="inlineStr">
        <is>
          <t>D&amp;A (€M)</t>
        </is>
      </c>
      <c r="B22" s="28" t="n">
        <v>0.7</v>
      </c>
      <c r="C22" s="28" t="n">
        <v>0.7</v>
      </c>
      <c r="D22" s="28" t="n">
        <v>0.7</v>
      </c>
      <c r="E22" s="28" t="n">
        <v>0.7</v>
      </c>
      <c r="F22" s="28" t="n">
        <v>0.7</v>
      </c>
    </row>
    <row r="23">
      <c r="A23" s="14" t="inlineStr">
        <is>
          <t>EBIT (€M)</t>
        </is>
      </c>
      <c r="B23" s="28">
        <f>B23-C23</f>
        <v/>
      </c>
      <c r="C23" s="28">
        <f>B23-C23</f>
        <v/>
      </c>
      <c r="D23" s="28">
        <f>B23-C23</f>
        <v/>
      </c>
      <c r="E23" s="28">
        <f>B23-C23</f>
        <v/>
      </c>
      <c r="F23" s="28">
        <f>B23-C23</f>
        <v/>
      </c>
    </row>
    <row r="24">
      <c r="A24" s="14" t="inlineStr">
        <is>
          <t>Interessi (€M)</t>
        </is>
      </c>
      <c r="B24" s="28">
        <f>-1.37</f>
        <v/>
      </c>
      <c r="C24" s="28">
        <f>-1.28</f>
        <v/>
      </c>
      <c r="D24" s="28">
        <f>-1.18</f>
        <v/>
      </c>
      <c r="E24" s="28">
        <f>-1.07</f>
        <v/>
      </c>
      <c r="F24" s="28">
        <f>-0.95</f>
        <v/>
      </c>
    </row>
    <row r="25">
      <c r="A25" s="14" t="inlineStr">
        <is>
          <t>EBT (€M)</t>
        </is>
      </c>
      <c r="B25" s="28">
        <f>B25+C25</f>
        <v/>
      </c>
      <c r="C25" s="28">
        <f>B25+C25</f>
        <v/>
      </c>
      <c r="D25" s="28">
        <f>B25+C25</f>
        <v/>
      </c>
      <c r="E25" s="28">
        <f>B25+C25</f>
        <v/>
      </c>
      <c r="F25" s="28">
        <f>B25+C25</f>
        <v/>
      </c>
    </row>
    <row r="26">
      <c r="A26" s="14" t="inlineStr">
        <is>
          <t>Tasse (27%)</t>
        </is>
      </c>
      <c r="B26" s="28">
        <f>B26*0.27</f>
        <v/>
      </c>
      <c r="C26" s="28">
        <f>B26*0.27</f>
        <v/>
      </c>
      <c r="D26" s="28">
        <f>B26*0.27</f>
        <v/>
      </c>
      <c r="E26" s="28">
        <f>B26*0.27</f>
        <v/>
      </c>
      <c r="F26" s="28">
        <f>B26*0.27</f>
        <v/>
      </c>
    </row>
    <row r="27">
      <c r="A27" s="8" t="inlineStr">
        <is>
          <t>Utile Netto (€M)</t>
        </is>
      </c>
      <c r="B27" s="28">
        <f>B27-C27</f>
        <v/>
      </c>
      <c r="C27" s="28">
        <f>B27-C27</f>
        <v/>
      </c>
      <c r="D27" s="28">
        <f>B27-C27</f>
        <v/>
      </c>
      <c r="E27" s="28">
        <f>B27-C27</f>
        <v/>
      </c>
      <c r="F27" s="28">
        <f>B27-C27</f>
        <v/>
      </c>
    </row>
    <row r="30">
      <c r="A30" s="13" t="inlineStr">
        <is>
          <t>Exit Analysis (Anno 5):</t>
        </is>
      </c>
    </row>
    <row r="31">
      <c r="A31" s="14" t="inlineStr">
        <is>
          <t>Exit Multiple (EV/EBITDA)</t>
        </is>
      </c>
      <c r="B31" s="29" t="n">
        <v>9</v>
      </c>
    </row>
    <row r="32">
      <c r="A32" s="14" t="inlineStr">
        <is>
          <t>EBITDA Y5</t>
        </is>
      </c>
      <c r="B32" s="14">
        <f>B21</f>
        <v/>
      </c>
    </row>
    <row r="33">
      <c r="A33" s="14" t="inlineStr">
        <is>
          <t>EV Exit</t>
        </is>
      </c>
      <c r="B33" s="14" t="inlineStr"/>
    </row>
    <row r="34">
      <c r="A34" s="14" t="inlineStr">
        <is>
          <t>Debito Residuo</t>
        </is>
      </c>
      <c r="B34" s="25" t="n">
        <v>8.5</v>
      </c>
    </row>
    <row r="35">
      <c r="A35" s="14" t="inlineStr">
        <is>
          <t>Equity Value Exit</t>
        </is>
      </c>
      <c r="B35" s="30" t="inlineStr"/>
    </row>
    <row r="36">
      <c r="A36" s="8" t="inlineStr">
        <is>
          <t>MOIC</t>
        </is>
      </c>
      <c r="B36" s="31" t="inlineStr"/>
    </row>
    <row r="37">
      <c r="A37" s="8" t="inlineStr">
        <is>
          <t>IRR (approx)</t>
        </is>
      </c>
      <c r="B37" s="32" t="inlineStr"/>
    </row>
  </sheetData>
  <mergeCells count="3">
    <mergeCell ref="A18:H18"/>
    <mergeCell ref="A3:H3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4"/>
  <sheetViews>
    <sheetView showGridLines="0"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2" t="inlineStr">
        <is>
          <t>SEZIONE A — SaaS COMPARABLES (per Kora S.r.l.)</t>
        </is>
      </c>
    </row>
    <row r="3">
      <c r="A3" s="33" t="inlineStr">
        <is>
          <t>Company</t>
        </is>
      </c>
      <c r="B3" s="33" t="inlineStr">
        <is>
          <t>Country</t>
        </is>
      </c>
      <c r="C3" s="33" t="inlineStr">
        <is>
          <t>Revenue (€M)</t>
        </is>
      </c>
      <c r="D3" s="33" t="inlineStr">
        <is>
          <t>Growth %</t>
        </is>
      </c>
      <c r="E3" s="33" t="inlineStr">
        <is>
          <t>EBITDA %</t>
        </is>
      </c>
      <c r="F3" s="33" t="inlineStr">
        <is>
          <t>EV (€M)</t>
        </is>
      </c>
      <c r="G3" s="33" t="inlineStr">
        <is>
          <t>EV/EBITDA</t>
        </is>
      </c>
      <c r="H3" s="33" t="inlineStr">
        <is>
          <t>EV/Revenue</t>
        </is>
      </c>
    </row>
    <row r="4">
      <c r="A4" s="14" t="inlineStr">
        <is>
          <t>HRtech Alpha</t>
        </is>
      </c>
      <c r="B4" s="14" t="inlineStr">
        <is>
          <t>DE</t>
        </is>
      </c>
      <c r="C4" s="20" t="n">
        <v>45</v>
      </c>
      <c r="D4" s="34" t="n">
        <v>0.28</v>
      </c>
      <c r="E4" s="34" t="n">
        <v>0.18</v>
      </c>
      <c r="F4" s="20" t="n">
        <v>405</v>
      </c>
      <c r="G4" s="35">
        <f>F4/(C4*E4)</f>
        <v/>
      </c>
      <c r="H4" s="35">
        <f>F4/C4</f>
        <v/>
      </c>
    </row>
    <row r="5">
      <c r="A5" s="14" t="inlineStr">
        <is>
          <t>WorkSoft Beta</t>
        </is>
      </c>
      <c r="B5" s="14" t="inlineStr">
        <is>
          <t>UK</t>
        </is>
      </c>
      <c r="C5" s="20" t="n">
        <v>32</v>
      </c>
      <c r="D5" s="34" t="n">
        <v>0.22</v>
      </c>
      <c r="E5" s="34" t="n">
        <v>0.22</v>
      </c>
      <c r="F5" s="20" t="n">
        <v>224</v>
      </c>
      <c r="G5" s="35">
        <f>F5/(C5*E5)</f>
        <v/>
      </c>
      <c r="H5" s="35">
        <f>F5/C5</f>
        <v/>
      </c>
    </row>
    <row r="6">
      <c r="A6" s="14" t="inlineStr">
        <is>
          <t>PeopleCloud</t>
        </is>
      </c>
      <c r="B6" s="14" t="inlineStr">
        <is>
          <t>FR</t>
        </is>
      </c>
      <c r="C6" s="20" t="n">
        <v>58</v>
      </c>
      <c r="D6" s="34" t="n">
        <v>0.35</v>
      </c>
      <c r="E6" s="34" t="n">
        <v>0.12</v>
      </c>
      <c r="F6" s="20" t="n">
        <v>464</v>
      </c>
      <c r="G6" s="35">
        <f>F6/(C6*E6)</f>
        <v/>
      </c>
      <c r="H6" s="35">
        <f>F6/C6</f>
        <v/>
      </c>
    </row>
    <row r="7">
      <c r="A7" s="14" t="inlineStr">
        <is>
          <t>HRPlus</t>
        </is>
      </c>
      <c r="B7" s="14" t="inlineStr">
        <is>
          <t>IT</t>
        </is>
      </c>
      <c r="C7" s="20" t="n">
        <v>28</v>
      </c>
      <c r="D7" s="34" t="n">
        <v>0.2</v>
      </c>
      <c r="E7" s="34" t="n">
        <v>0.25</v>
      </c>
      <c r="F7" s="20" t="n">
        <v>196</v>
      </c>
      <c r="G7" s="35">
        <f>F7/(C7*E7)</f>
        <v/>
      </c>
      <c r="H7" s="35">
        <f>F7/C7</f>
        <v/>
      </c>
    </row>
    <row r="8">
      <c r="A8" s="14" t="inlineStr">
        <is>
          <t>TeamSaaS</t>
        </is>
      </c>
      <c r="B8" s="14" t="inlineStr">
        <is>
          <t>NL</t>
        </is>
      </c>
      <c r="C8" s="20" t="n">
        <v>41</v>
      </c>
      <c r="D8" s="34" t="n">
        <v>0.18</v>
      </c>
      <c r="E8" s="34" t="n">
        <v>0.28</v>
      </c>
      <c r="F8" s="20" t="n">
        <v>287</v>
      </c>
      <c r="G8" s="35">
        <f>F8/(C8*E8)</f>
        <v/>
      </c>
      <c r="H8" s="35">
        <f>F8/C8</f>
        <v/>
      </c>
    </row>
    <row r="10">
      <c r="A10" s="13" t="inlineStr">
        <is>
          <t>Mean</t>
        </is>
      </c>
      <c r="G10" s="35">
        <f>AVERAGE(G5:G9)</f>
        <v/>
      </c>
      <c r="H10" s="35">
        <f>AVERAGE(H5:H9)</f>
        <v/>
      </c>
    </row>
    <row r="11">
      <c r="A11" s="13" t="inlineStr">
        <is>
          <t>Median</t>
        </is>
      </c>
      <c r="G11" s="35">
        <f>MEDIAN(G5:G9)</f>
        <v/>
      </c>
      <c r="H11" s="35">
        <f>MEDIAN(H5:H9)</f>
        <v/>
      </c>
    </row>
    <row r="12">
      <c r="A12" s="13" t="inlineStr">
        <is>
          <t>25th percentile</t>
        </is>
      </c>
      <c r="G12" s="35">
        <f>QUARTILE(G5:G9,1)</f>
        <v/>
      </c>
      <c r="H12" s="35">
        <f>QUARTILE(H5:H9,1)</f>
        <v/>
      </c>
    </row>
    <row r="13">
      <c r="A13" s="13" t="inlineStr">
        <is>
          <t>75th percentile</t>
        </is>
      </c>
      <c r="G13" s="35">
        <f>QUARTILE(G5:G9,3)</f>
        <v/>
      </c>
      <c r="H13" s="35">
        <f>QUARTILE(H5:H9,3)</f>
        <v/>
      </c>
    </row>
    <row r="17">
      <c r="A17" s="12" t="inlineStr">
        <is>
          <t>SEZIONE B — MANUFACTURING COMPARABLES (per Ferro S.r.l.)</t>
        </is>
      </c>
    </row>
    <row r="19">
      <c r="A19" s="33" t="inlineStr">
        <is>
          <t>Company</t>
        </is>
      </c>
      <c r="B19" s="33" t="inlineStr">
        <is>
          <t>Country</t>
        </is>
      </c>
      <c r="C19" s="33" t="inlineStr">
        <is>
          <t>Revenue (€M)</t>
        </is>
      </c>
      <c r="D19" s="33" t="inlineStr">
        <is>
          <t>Growth %</t>
        </is>
      </c>
      <c r="E19" s="33" t="inlineStr">
        <is>
          <t>EBITDA %</t>
        </is>
      </c>
      <c r="F19" s="33" t="inlineStr">
        <is>
          <t>EV (€M)</t>
        </is>
      </c>
      <c r="G19" s="33" t="inlineStr">
        <is>
          <t>EV/EBITDA</t>
        </is>
      </c>
      <c r="H19" s="33" t="inlineStr">
        <is>
          <t>EV/Revenue</t>
        </is>
      </c>
    </row>
    <row r="20">
      <c r="A20" s="14" t="inlineStr">
        <is>
          <t>Interpump Group</t>
        </is>
      </c>
      <c r="B20" s="14" t="inlineStr">
        <is>
          <t>IT</t>
        </is>
      </c>
      <c r="C20" s="20" t="n">
        <v>1820</v>
      </c>
      <c r="D20" s="34" t="n">
        <v>0.08</v>
      </c>
      <c r="E20" s="34" t="n">
        <v>0.21</v>
      </c>
      <c r="F20" s="20" t="n">
        <v>16380</v>
      </c>
      <c r="G20" s="35">
        <f>F20/(C20*E20)</f>
        <v/>
      </c>
      <c r="H20" s="35">
        <f>F20/C20</f>
        <v/>
      </c>
    </row>
    <row r="21">
      <c r="A21" s="14" t="inlineStr">
        <is>
          <t>Cembre</t>
        </is>
      </c>
      <c r="B21" s="14" t="inlineStr">
        <is>
          <t>IT</t>
        </is>
      </c>
      <c r="C21" s="20" t="n">
        <v>285</v>
      </c>
      <c r="D21" s="34" t="n">
        <v>0.12</v>
      </c>
      <c r="E21" s="34" t="n">
        <v>0.19</v>
      </c>
      <c r="F21" s="20" t="n">
        <v>2280</v>
      </c>
      <c r="G21" s="35">
        <f>F21/(C21*E21)</f>
        <v/>
      </c>
      <c r="H21" s="35">
        <f>F21/C21</f>
        <v/>
      </c>
    </row>
    <row r="22">
      <c r="A22" s="14" t="inlineStr">
        <is>
          <t>Prima Industrie</t>
        </is>
      </c>
      <c r="B22" s="14" t="inlineStr">
        <is>
          <t>IT</t>
        </is>
      </c>
      <c r="C22" s="20" t="n">
        <v>420</v>
      </c>
      <c r="D22" s="34" t="n">
        <v>0.09</v>
      </c>
      <c r="E22" s="34" t="n">
        <v>0.14</v>
      </c>
      <c r="F22" s="20" t="n">
        <v>3360</v>
      </c>
      <c r="G22" s="35">
        <f>F22/(C22*E22)</f>
        <v/>
      </c>
      <c r="H22" s="35">
        <f>F22/C22</f>
        <v/>
      </c>
    </row>
    <row r="23">
      <c r="A23" s="14" t="inlineStr">
        <is>
          <t>Elica</t>
        </is>
      </c>
      <c r="B23" s="14" t="inlineStr">
        <is>
          <t>IT</t>
        </is>
      </c>
      <c r="C23" s="20" t="n">
        <v>510</v>
      </c>
      <c r="D23" s="34" t="n">
        <v>0.06</v>
      </c>
      <c r="E23" s="34" t="n">
        <v>0.11</v>
      </c>
      <c r="F23" s="20" t="n">
        <v>3570</v>
      </c>
      <c r="G23" s="35">
        <f>F23/(C23*E23)</f>
        <v/>
      </c>
      <c r="H23" s="35">
        <f>F23/C23</f>
        <v/>
      </c>
    </row>
    <row r="24">
      <c r="A24" s="14" t="inlineStr">
        <is>
          <t>Brembo</t>
        </is>
      </c>
      <c r="B24" s="14" t="inlineStr">
        <is>
          <t>IT</t>
        </is>
      </c>
      <c r="C24" s="20" t="n">
        <v>3250</v>
      </c>
      <c r="D24" s="34" t="n">
        <v>0.11</v>
      </c>
      <c r="E24" s="34" t="n">
        <v>0.17</v>
      </c>
      <c r="F24" s="20" t="n">
        <v>48750</v>
      </c>
      <c r="G24" s="35">
        <f>F24/(C24*E24)</f>
        <v/>
      </c>
      <c r="H24" s="35">
        <f>F24/C24</f>
        <v/>
      </c>
    </row>
  </sheetData>
  <mergeCells count="2">
    <mergeCell ref="A17:H17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26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20" customWidth="1" min="3" max="3"/>
  </cols>
  <sheetData>
    <row r="1">
      <c r="A1" s="23" t="inlineStr">
        <is>
          <t>WACC CALCULATOR — Interattivo</t>
        </is>
      </c>
    </row>
    <row r="3">
      <c r="A3" s="24" t="inlineStr">
        <is>
          <t>SEZIONE INPUT — Componenti CAPM</t>
        </is>
      </c>
    </row>
    <row r="5">
      <c r="A5" s="14" t="inlineStr">
        <is>
          <t>Risk-Free Rate (Rf)</t>
        </is>
      </c>
      <c r="B5" s="36" t="n">
        <v>0.038</v>
      </c>
      <c r="C5" s="26" t="inlineStr">
        <is>
          <t>BTP 10Y</t>
        </is>
      </c>
    </row>
    <row r="6">
      <c r="A6" s="14" t="inlineStr">
        <is>
          <t>Beta Unlevered</t>
        </is>
      </c>
      <c r="B6" s="37" t="n">
        <v>1.15</v>
      </c>
      <c r="C6" s="26" t="inlineStr">
        <is>
          <t>Settore specifico</t>
        </is>
      </c>
    </row>
    <row r="7">
      <c r="A7" s="14" t="inlineStr">
        <is>
          <t>Equity Risk Premium (ERP)</t>
        </is>
      </c>
      <c r="B7" s="36" t="n">
        <v>0.055</v>
      </c>
      <c r="C7" s="26" t="inlineStr">
        <is>
          <t>Damodaran 2024</t>
        </is>
      </c>
    </row>
    <row r="8">
      <c r="A8" s="14" t="inlineStr">
        <is>
          <t>Size Premium</t>
        </is>
      </c>
      <c r="B8" s="36" t="n">
        <v>0.03</v>
      </c>
      <c r="C8" s="26" t="inlineStr">
        <is>
          <t>PMI &lt;€50M</t>
        </is>
      </c>
    </row>
    <row r="9">
      <c r="A9" s="14" t="inlineStr">
        <is>
          <t>CSRP (Country Risk)</t>
        </is>
      </c>
      <c r="B9" s="36" t="n">
        <v>0.01</v>
      </c>
      <c r="C9" s="26" t="inlineStr">
        <is>
          <t>Italia</t>
        </is>
      </c>
    </row>
    <row r="11">
      <c r="A11" s="14" t="inlineStr">
        <is>
          <t>Cost of Debt (Kd)</t>
        </is>
      </c>
      <c r="B11" s="36" t="n">
        <v>0.058</v>
      </c>
      <c r="C11" s="26" t="inlineStr">
        <is>
          <t>Tasso medio debito</t>
        </is>
      </c>
    </row>
    <row r="12">
      <c r="A12" s="14" t="inlineStr">
        <is>
          <t>Tax Rate</t>
        </is>
      </c>
      <c r="B12" s="36" t="n">
        <v>0.27</v>
      </c>
      <c r="C12" s="26" t="inlineStr">
        <is>
          <t>Italia 2024</t>
        </is>
      </c>
    </row>
    <row r="14">
      <c r="A14" s="14" t="inlineStr">
        <is>
          <t>Debt (€M)</t>
        </is>
      </c>
      <c r="B14" s="37" t="n">
        <v>0.14</v>
      </c>
      <c r="C14" s="26" t="inlineStr"/>
    </row>
    <row r="15">
      <c r="A15" s="14" t="inlineStr">
        <is>
          <t>Equity (€M)</t>
        </is>
      </c>
      <c r="B15" s="37" t="n">
        <v>4.86</v>
      </c>
      <c r="C15" s="26" t="inlineStr"/>
    </row>
    <row r="18">
      <c r="A18" s="24" t="inlineStr">
        <is>
          <t>SEZIONE OUTPUT — Calcoli</t>
        </is>
      </c>
    </row>
    <row r="20">
      <c r="A20" s="14" t="inlineStr">
        <is>
          <t>Beta Levered</t>
        </is>
      </c>
      <c r="B20" s="38">
        <f>B6*(1+(1-B13)*(B16/B17))</f>
        <v/>
      </c>
    </row>
    <row r="21">
      <c r="A21" s="3" t="inlineStr">
        <is>
          <t>Ke (Cost of Equity)</t>
        </is>
      </c>
      <c r="B21" s="36">
        <f>B5+(B20*B7)+B8+B9</f>
        <v/>
      </c>
    </row>
    <row r="22">
      <c r="A22" s="14" t="inlineStr">
        <is>
          <t>Kd (after-tax)</t>
        </is>
      </c>
      <c r="B22" s="36">
        <f>B12*(1-B13)</f>
        <v/>
      </c>
    </row>
    <row r="23">
      <c r="A23" s="14" t="inlineStr">
        <is>
          <t>We (Equity Weight)</t>
        </is>
      </c>
      <c r="B23" s="36">
        <f>B17/(B16+B17)</f>
        <v/>
      </c>
    </row>
    <row r="24">
      <c r="A24" s="14" t="inlineStr">
        <is>
          <t>Wd (Debt Weight)</t>
        </is>
      </c>
      <c r="B24" s="36">
        <f>B16/(B16+B17)</f>
        <v/>
      </c>
    </row>
    <row r="26">
      <c r="A26" s="13" t="inlineStr">
        <is>
          <t>WACC</t>
        </is>
      </c>
      <c r="B26" s="32">
        <f>B21*B23+B22*B24</f>
        <v/>
      </c>
    </row>
  </sheetData>
  <mergeCells count="3">
    <mergeCell ref="A1:C1"/>
    <mergeCell ref="A18:C18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2026-04-14T13:08:13Z</dcterms:created>
  <dcterms:modified xmlns:dcterms="http://purl.org/dc/terms/" xmlns:xsi="http://www.w3.org/2001/XMLSchema-instance" xsi:type="dcterms:W3CDTF">2026-04-14T13:08:14Z</dcterms:modified>
</cp:coreProperties>
</file>